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 17" sheetId="2" r:id="rId2"/>
    <sheet name="грудень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<sst xmlns="http://schemas.openxmlformats.org/spreadsheetml/2006/main" count="415" uniqueCount="154">
  <si>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</si>
  <si>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</si>
  <si>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</si>
  <si>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</si>
  <si>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</si>
  <si>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</si>
  <si>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</si>
  <si>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</si>
  <si>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</si>
  <si>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</si>
  <si>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</si>
  <si>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</si>
  <si>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</si>
  <si>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</si>
  <si>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</si>
  <si>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</si>
  <si>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</si>
  <si>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</si>
  <si>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</si>
  <si>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</si>
  <si>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</si>
  <si>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</si>
  <si>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</si>
  <si>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</si>
  <si>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</si>
  <si>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</si>
  <si>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</si>
  <si>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</si>
  <si>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</si>
  <si>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</si>
  <si>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</si>
  <si>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</si>
  <si>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</si>
  <si>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</si>
  <si>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</si>
  <si>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</si>
  <si>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</si>
  <si>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</si>
  <si>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</si>
  <si>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</si>
  <si>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</si>
  <si>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</si>
  <si>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</si>
  <si>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</si>
  <si>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</si>
  <si>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</si>
  <si>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</si>
  <si>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</si>
  <si>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</si>
  <si>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</si>
  <si>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</si>
  <si>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</si>
  <si>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</si>
  <si>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</si>
  <si>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</si>
  <si>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</si>
  <si>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</si>
  <si>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</si>
  <si>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</si>
  <si>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</si>
  <si>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</si>
  <si>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</si>
  <si>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</si>
  <si>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</si>
  <si>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</si>
  <si>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</si>
  <si>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</si>
  <si>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</si>
  <si>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</si>
  <si>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</si>
  <si>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</si>
  <si>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</si>
  <si>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</si>
  <si>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</si>
  <si>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</si>
  <si>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</si>
  <si>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</si>
  <si>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</si>
  <si>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</si>
  <si>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</si>
  <si>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</si>
  <si>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</si>
  <si>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</si>
  <si>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</si>
  <si>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</si>
  <si>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</si>
  <si>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</si>
  <si>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</si>
  <si>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</si>
  <si>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</si>
  <si>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</si>
  <si>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</si>
  <si>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</si>
  <si>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</si>
  <si>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</si>
  <si>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</si>
  <si>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</si>
  <si>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</si>
  <si>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</si>
  <si>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</si>
  <si>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</si>
  <si>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</si>
  <si>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</si>
  <si>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</si>
  <si>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</si>
  <si>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</si>
  <si>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</si>
  <si>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</si>
  <si>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</si>
  <si>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</si>
  <si>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</si>
  <si>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</si>
  <si>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</si>
  <si>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</si>
  <si>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</si>
  <si>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</si>
  <si>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</si>
  <si>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</si>
  <si>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</si>
  <si>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</si>
  <si>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</si>
  <si>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</si>
  <si>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</si>
  <si>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</si>
  <si>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</si>
  <si>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</si>
  <si>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</si>
  <si>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</si>
  <si>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</si>
  <si>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</si>
  <si>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</si>
  <si>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</si>
  <si>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</si>
  <si>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</si>
  <si>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</si>
  <si>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</si>
  <si>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</si>
  <si>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</si>
  <si>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</si>
  <si>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</si>
  <si>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</si>
  <si>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</si>
  <si>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</si>
  <si>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</si>
  <si>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</si>
  <si>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</si>
  <si>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</si>
  <si>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</si>
  <si>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</si>
  <si>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</si>
  <si>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</si>
  <si>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</si>
  <si>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23.02.2017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</si>
  <si>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22.02.17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</si>
</sst>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4" fontId="3" fillId="34" borderId="10" xfId="54" applyNumberFormat="1" applyFont="1" applyFill="1" applyBorder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778268.44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9" t="s">
        <v>152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86"/>
      <c r="S1" s="87"/>
    </row>
    <row r="2" spans="2:19" s="1" customFormat="1" ht="15.75" customHeight="1">
      <c r="B2" s="240"/>
      <c r="C2" s="240"/>
      <c r="D2" s="24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1"/>
      <c r="B3" s="243"/>
      <c r="C3" s="244" t="s">
        <v>0</v>
      </c>
      <c r="D3" s="245" t="s">
        <v>151</v>
      </c>
      <c r="E3" s="32"/>
      <c r="F3" s="246" t="s">
        <v>26</v>
      </c>
      <c r="G3" s="247"/>
      <c r="H3" s="247"/>
      <c r="I3" s="247"/>
      <c r="J3" s="248"/>
      <c r="K3" s="83"/>
      <c r="L3" s="83"/>
      <c r="M3" s="83"/>
      <c r="N3" s="249" t="s">
        <v>145</v>
      </c>
      <c r="O3" s="252" t="s">
        <v>149</v>
      </c>
      <c r="P3" s="252"/>
      <c r="Q3" s="252"/>
      <c r="R3" s="252"/>
      <c r="S3" s="252"/>
    </row>
    <row r="4" spans="1:19" ht="22.5" customHeight="1">
      <c r="A4" s="241"/>
      <c r="B4" s="243"/>
      <c r="C4" s="244"/>
      <c r="D4" s="245"/>
      <c r="E4" s="253" t="s">
        <v>150</v>
      </c>
      <c r="F4" s="255" t="s">
        <v>33</v>
      </c>
      <c r="G4" s="257" t="s">
        <v>146</v>
      </c>
      <c r="H4" s="250" t="s">
        <v>147</v>
      </c>
      <c r="I4" s="257" t="s">
        <v>138</v>
      </c>
      <c r="J4" s="250" t="s">
        <v>139</v>
      </c>
      <c r="K4" s="85" t="s">
        <v>141</v>
      </c>
      <c r="L4" s="204" t="s">
        <v>113</v>
      </c>
      <c r="M4" s="90" t="s">
        <v>63</v>
      </c>
      <c r="N4" s="250"/>
      <c r="O4" s="259" t="s">
        <v>153</v>
      </c>
      <c r="P4" s="257" t="s">
        <v>49</v>
      </c>
      <c r="Q4" s="261" t="s">
        <v>48</v>
      </c>
      <c r="R4" s="91" t="s">
        <v>64</v>
      </c>
      <c r="S4" s="92" t="s">
        <v>63</v>
      </c>
    </row>
    <row r="5" spans="1:19" ht="67.5" customHeight="1">
      <c r="A5" s="242"/>
      <c r="B5" s="243"/>
      <c r="C5" s="244"/>
      <c r="D5" s="245"/>
      <c r="E5" s="254"/>
      <c r="F5" s="256"/>
      <c r="G5" s="258"/>
      <c r="H5" s="251"/>
      <c r="I5" s="258"/>
      <c r="J5" s="251"/>
      <c r="K5" s="262" t="s">
        <v>148</v>
      </c>
      <c r="L5" s="263"/>
      <c r="M5" s="264"/>
      <c r="N5" s="251"/>
      <c r="O5" s="260"/>
      <c r="P5" s="258"/>
      <c r="Q5" s="261"/>
      <c r="R5" s="262" t="s">
        <v>102</v>
      </c>
      <c r="S5" s="26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165732.68000000002</v>
      </c>
      <c r="G8" s="151">
        <f aca="true" t="shared" si="0" ref="G8:G37">F8-E8</f>
        <v>-30512.819999999978</v>
      </c>
      <c r="H8" s="152">
        <f>F8/E8*100</f>
        <v>84.45170972073245</v>
      </c>
      <c r="I8" s="153">
        <f>F8-D8</f>
        <v>-1132718.4200000002</v>
      </c>
      <c r="J8" s="153">
        <f>F8/D8*100</f>
        <v>12.763875358879515</v>
      </c>
      <c r="K8" s="151">
        <v>140423.02</v>
      </c>
      <c r="L8" s="151">
        <f aca="true" t="shared" si="1" ref="L8:L51">F8-K8</f>
        <v>25309.660000000033</v>
      </c>
      <c r="M8" s="205">
        <f aca="true" t="shared" si="2" ref="M8:M28">F8/K8</f>
        <v>1.1802386816634483</v>
      </c>
      <c r="N8" s="151">
        <f>N9+N15+N18+N19+N20+N17</f>
        <v>101878</v>
      </c>
      <c r="O8" s="151">
        <f>O9+O15+O18+O19+O20+O17</f>
        <v>71875.71000000002</v>
      </c>
      <c r="P8" s="151">
        <f>O8-N8</f>
        <v>-30002.28999999998</v>
      </c>
      <c r="Q8" s="151">
        <f>O8/N8*100</f>
        <v>70.55076660319207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86545.85</v>
      </c>
      <c r="G9" s="150">
        <f t="shared" si="0"/>
        <v>-15654.149999999994</v>
      </c>
      <c r="H9" s="157">
        <f>F9/E9*100</f>
        <v>84.68282778864972</v>
      </c>
      <c r="I9" s="158">
        <f>F9-D9</f>
        <v>-680099.15</v>
      </c>
      <c r="J9" s="158">
        <f>F9/D9*100</f>
        <v>11.288908164795961</v>
      </c>
      <c r="K9" s="227">
        <v>70324.6</v>
      </c>
      <c r="L9" s="159">
        <f t="shared" si="1"/>
        <v>16221.25</v>
      </c>
      <c r="M9" s="206">
        <f t="shared" si="2"/>
        <v>1.230662527764111</v>
      </c>
      <c r="N9" s="157">
        <f>E9-'січень 17'!E9</f>
        <v>54500</v>
      </c>
      <c r="O9" s="160">
        <f>F9-'січень 17'!F9</f>
        <v>39620.920000000006</v>
      </c>
      <c r="P9" s="161">
        <f>O9-N9</f>
        <v>-14879.079999999994</v>
      </c>
      <c r="Q9" s="158">
        <f>O9/N9*100</f>
        <v>72.69893577981652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79433.2</v>
      </c>
      <c r="G10" s="103">
        <f t="shared" si="0"/>
        <v>-12914.800000000003</v>
      </c>
      <c r="H10" s="30">
        <f aca="true" t="shared" si="3" ref="H10:H36">F10/E10*100</f>
        <v>86.01507341794083</v>
      </c>
      <c r="I10" s="104">
        <f aca="true" t="shared" si="4" ref="I10:I37">F10-D10</f>
        <v>-621883.8</v>
      </c>
      <c r="J10" s="104">
        <f aca="true" t="shared" si="5" ref="J10:J36">F10/D10*100</f>
        <v>11.326290393645099</v>
      </c>
      <c r="K10" s="106">
        <v>62213.95</v>
      </c>
      <c r="L10" s="106">
        <f t="shared" si="1"/>
        <v>17219.25</v>
      </c>
      <c r="M10" s="207">
        <f t="shared" si="2"/>
        <v>1.2767747426421245</v>
      </c>
      <c r="N10" s="105">
        <f>E10-'січень 17'!E10</f>
        <v>49064</v>
      </c>
      <c r="O10" s="144">
        <f>F10-'січень 17'!F10</f>
        <v>36290.27</v>
      </c>
      <c r="P10" s="106">
        <f aca="true" t="shared" si="6" ref="P10:P37">O10-N10</f>
        <v>-12773.730000000003</v>
      </c>
      <c r="Q10" s="104">
        <f aca="true" t="shared" si="7" ref="Q10:Q18">O10/N10*100</f>
        <v>73.96516794390999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4080.89</v>
      </c>
      <c r="G11" s="103">
        <f t="shared" si="0"/>
        <v>-3119.11</v>
      </c>
      <c r="H11" s="30">
        <f t="shared" si="3"/>
        <v>56.679027777777776</v>
      </c>
      <c r="I11" s="104">
        <f t="shared" si="4"/>
        <v>-42425.11</v>
      </c>
      <c r="J11" s="104">
        <f t="shared" si="5"/>
        <v>8.774975272007913</v>
      </c>
      <c r="K11" s="106">
        <v>5319.16</v>
      </c>
      <c r="L11" s="106">
        <f t="shared" si="1"/>
        <v>-1238.27</v>
      </c>
      <c r="M11" s="207">
        <f t="shared" si="2"/>
        <v>0.7672057242120937</v>
      </c>
      <c r="N11" s="105">
        <f>E11-'січень 17'!E11</f>
        <v>3600</v>
      </c>
      <c r="O11" s="144">
        <f>F11-'січень 17'!F11</f>
        <v>1399.19</v>
      </c>
      <c r="P11" s="106">
        <f t="shared" si="6"/>
        <v>-2200.81</v>
      </c>
      <c r="Q11" s="104">
        <f t="shared" si="7"/>
        <v>38.86638888888889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942.33</v>
      </c>
      <c r="G12" s="103">
        <f t="shared" si="0"/>
        <v>102.33000000000004</v>
      </c>
      <c r="H12" s="30">
        <f t="shared" si="3"/>
        <v>112.18214285714285</v>
      </c>
      <c r="I12" s="104">
        <f t="shared" si="4"/>
        <v>-7337.67</v>
      </c>
      <c r="J12" s="104">
        <f t="shared" si="5"/>
        <v>11.380797101449277</v>
      </c>
      <c r="K12" s="106">
        <v>822.03</v>
      </c>
      <c r="L12" s="106">
        <f t="shared" si="1"/>
        <v>120.30000000000007</v>
      </c>
      <c r="M12" s="207">
        <f t="shared" si="2"/>
        <v>1.1463450239042372</v>
      </c>
      <c r="N12" s="105">
        <f>E12-'січень 17'!E12</f>
        <v>420</v>
      </c>
      <c r="O12" s="144">
        <f>F12-'січень 17'!F12</f>
        <v>441.90000000000003</v>
      </c>
      <c r="P12" s="106">
        <f t="shared" si="6"/>
        <v>21.900000000000034</v>
      </c>
      <c r="Q12" s="104">
        <f t="shared" si="7"/>
        <v>105.21428571428572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1891.12</v>
      </c>
      <c r="G13" s="103">
        <f t="shared" si="0"/>
        <v>271.1199999999999</v>
      </c>
      <c r="H13" s="30">
        <f t="shared" si="3"/>
        <v>116.73580246913579</v>
      </c>
      <c r="I13" s="104">
        <f t="shared" si="4"/>
        <v>-7498.88</v>
      </c>
      <c r="J13" s="104">
        <f t="shared" si="5"/>
        <v>20.13972310969116</v>
      </c>
      <c r="K13" s="106">
        <v>1514.49</v>
      </c>
      <c r="L13" s="106">
        <f t="shared" si="1"/>
        <v>376.6299999999999</v>
      </c>
      <c r="M13" s="207">
        <f t="shared" si="2"/>
        <v>1.248684375598386</v>
      </c>
      <c r="N13" s="105">
        <f>E13-'січень 17'!E13</f>
        <v>1320</v>
      </c>
      <c r="O13" s="144">
        <f>F13-'січень 17'!F13</f>
        <v>1391.7599999999998</v>
      </c>
      <c r="P13" s="106">
        <f t="shared" si="6"/>
        <v>71.75999999999976</v>
      </c>
      <c r="Q13" s="104">
        <f t="shared" si="7"/>
        <v>105.43636363636362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10702.59</v>
      </c>
      <c r="G19" s="150">
        <f t="shared" si="0"/>
        <v>-7297.41</v>
      </c>
      <c r="H19" s="157">
        <f t="shared" si="3"/>
        <v>59.45883333333334</v>
      </c>
      <c r="I19" s="158">
        <f t="shared" si="4"/>
        <v>-119297.41</v>
      </c>
      <c r="J19" s="158">
        <f t="shared" si="5"/>
        <v>8.232761538461538</v>
      </c>
      <c r="K19" s="169">
        <v>10861</v>
      </c>
      <c r="L19" s="161">
        <f t="shared" si="1"/>
        <v>-158.40999999999985</v>
      </c>
      <c r="M19" s="213">
        <f t="shared" si="2"/>
        <v>0.9854147868520394</v>
      </c>
      <c r="N19" s="157">
        <f>E19-'січень 17'!E19</f>
        <v>8300</v>
      </c>
      <c r="O19" s="160">
        <f>F19-'січень 17'!F19</f>
        <v>950.8400000000001</v>
      </c>
      <c r="P19" s="161">
        <f t="shared" si="6"/>
        <v>-7349.16</v>
      </c>
      <c r="Q19" s="158">
        <f aca="true" t="shared" si="9" ref="Q19:Q24">O19/N19*100</f>
        <v>11.455903614457833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68351.87000000001</v>
      </c>
      <c r="G20" s="150">
        <f t="shared" si="0"/>
        <v>-7572.62999999999</v>
      </c>
      <c r="H20" s="157">
        <f t="shared" si="3"/>
        <v>90.02610488050631</v>
      </c>
      <c r="I20" s="158">
        <f t="shared" si="4"/>
        <v>-332778.23</v>
      </c>
      <c r="J20" s="158">
        <f t="shared" si="5"/>
        <v>17.039825732349684</v>
      </c>
      <c r="K20" s="158">
        <v>59046.44</v>
      </c>
      <c r="L20" s="161">
        <f t="shared" si="1"/>
        <v>9305.430000000008</v>
      </c>
      <c r="M20" s="209">
        <f t="shared" si="2"/>
        <v>1.1575951064958363</v>
      </c>
      <c r="N20" s="157">
        <f>E20-'січень 17'!E20</f>
        <v>38957</v>
      </c>
      <c r="O20" s="160">
        <f>F20-'січень 17'!F20</f>
        <v>31171.58000000001</v>
      </c>
      <c r="P20" s="161">
        <f t="shared" si="6"/>
        <v>-7785.419999999991</v>
      </c>
      <c r="Q20" s="158">
        <f t="shared" si="9"/>
        <v>80.01535025797676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21455.120000000003</v>
      </c>
      <c r="G21" s="150">
        <f t="shared" si="0"/>
        <v>-10625.679999999997</v>
      </c>
      <c r="H21" s="157">
        <f t="shared" si="3"/>
        <v>66.87838208523479</v>
      </c>
      <c r="I21" s="158">
        <f t="shared" si="4"/>
        <v>-185165.88</v>
      </c>
      <c r="J21" s="158">
        <f t="shared" si="5"/>
        <v>10.383804163177993</v>
      </c>
      <c r="K21" s="158">
        <v>25484.06</v>
      </c>
      <c r="L21" s="161">
        <f t="shared" si="1"/>
        <v>-4028.9399999999987</v>
      </c>
      <c r="M21" s="209">
        <f t="shared" si="2"/>
        <v>0.8419035271459886</v>
      </c>
      <c r="N21" s="157">
        <f>E21-'січень 17'!E21</f>
        <v>15335</v>
      </c>
      <c r="O21" s="160">
        <f>F21-'січень 17'!F21</f>
        <v>4934.840000000004</v>
      </c>
      <c r="P21" s="161">
        <f t="shared" si="6"/>
        <v>-10400.159999999996</v>
      </c>
      <c r="Q21" s="158">
        <f t="shared" si="9"/>
        <v>32.18024127812197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4335.52</v>
      </c>
      <c r="G22" s="171">
        <f t="shared" si="0"/>
        <v>-39.47999999999956</v>
      </c>
      <c r="H22" s="173">
        <f t="shared" si="3"/>
        <v>99.09760000000001</v>
      </c>
      <c r="I22" s="174">
        <f t="shared" si="4"/>
        <v>-18473.48</v>
      </c>
      <c r="J22" s="174">
        <f t="shared" si="5"/>
        <v>19.007935464071203</v>
      </c>
      <c r="K22" s="175">
        <v>3552.77</v>
      </c>
      <c r="L22" s="166">
        <f t="shared" si="1"/>
        <v>782.7500000000005</v>
      </c>
      <c r="M22" s="215">
        <f t="shared" si="2"/>
        <v>1.220321045268903</v>
      </c>
      <c r="N22" s="195">
        <f>E22-'січень 17'!E22</f>
        <v>225</v>
      </c>
      <c r="O22" s="179">
        <f>F22-'січень 17'!F22</f>
        <v>515.9100000000003</v>
      </c>
      <c r="P22" s="177">
        <f t="shared" si="6"/>
        <v>290.9100000000003</v>
      </c>
      <c r="Q22" s="174">
        <f t="shared" si="9"/>
        <v>229.2933333333335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148.6</v>
      </c>
      <c r="G23" s="198">
        <f t="shared" si="0"/>
        <v>-46.400000000000006</v>
      </c>
      <c r="H23" s="199">
        <f t="shared" si="3"/>
        <v>76.2051282051282</v>
      </c>
      <c r="I23" s="200">
        <f t="shared" si="4"/>
        <v>-1673.7</v>
      </c>
      <c r="J23" s="200">
        <f t="shared" si="5"/>
        <v>8.154529989573616</v>
      </c>
      <c r="K23" s="200">
        <v>146.88</v>
      </c>
      <c r="L23" s="200">
        <f t="shared" si="1"/>
        <v>1.7199999999999989</v>
      </c>
      <c r="M23" s="228">
        <f t="shared" si="2"/>
        <v>1.0117102396514162</v>
      </c>
      <c r="N23" s="237">
        <f>E23-'січень 17'!E23</f>
        <v>55</v>
      </c>
      <c r="O23" s="237">
        <f>F23-'січень 17'!F23</f>
        <v>28.22999999999999</v>
      </c>
      <c r="P23" s="200">
        <f t="shared" si="6"/>
        <v>-26.77000000000001</v>
      </c>
      <c r="Q23" s="200">
        <f t="shared" si="9"/>
        <v>51.327272727272714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4186.92</v>
      </c>
      <c r="G24" s="198">
        <f t="shared" si="0"/>
        <v>6.920000000000073</v>
      </c>
      <c r="H24" s="199">
        <f t="shared" si="3"/>
        <v>100.16555023923446</v>
      </c>
      <c r="I24" s="200">
        <f t="shared" si="4"/>
        <v>-16799.78</v>
      </c>
      <c r="J24" s="200">
        <f t="shared" si="5"/>
        <v>19.95034950706876</v>
      </c>
      <c r="K24" s="200">
        <v>3405.89</v>
      </c>
      <c r="L24" s="200">
        <f t="shared" si="1"/>
        <v>781.0300000000002</v>
      </c>
      <c r="M24" s="228">
        <f t="shared" si="2"/>
        <v>1.2293174471283572</v>
      </c>
      <c r="N24" s="237">
        <f>E24-'січень 17'!E24</f>
        <v>170</v>
      </c>
      <c r="O24" s="237">
        <f>F24-'січень 17'!F24</f>
        <v>487.6800000000003</v>
      </c>
      <c r="P24" s="200">
        <f t="shared" si="6"/>
        <v>317.6800000000003</v>
      </c>
      <c r="Q24" s="200">
        <f t="shared" si="9"/>
        <v>286.8705882352943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17040.43</v>
      </c>
      <c r="G26" s="171">
        <f t="shared" si="0"/>
        <v>-10614.57</v>
      </c>
      <c r="H26" s="173">
        <f t="shared" si="3"/>
        <v>61.61789911408425</v>
      </c>
      <c r="I26" s="174">
        <f t="shared" si="4"/>
        <v>-165951.57</v>
      </c>
      <c r="J26" s="174">
        <f t="shared" si="5"/>
        <v>9.312117469616158</v>
      </c>
      <c r="K26" s="175">
        <v>21757.07</v>
      </c>
      <c r="L26" s="175">
        <f t="shared" si="1"/>
        <v>-4716.639999999999</v>
      </c>
      <c r="M26" s="211">
        <f t="shared" si="2"/>
        <v>0.7832134565913517</v>
      </c>
      <c r="N26" s="195">
        <f>E26-'січень 17'!E26</f>
        <v>15105</v>
      </c>
      <c r="O26" s="179">
        <f>F26-'січень 17'!F26</f>
        <v>4391.84</v>
      </c>
      <c r="P26" s="177">
        <f t="shared" si="6"/>
        <v>-10713.16</v>
      </c>
      <c r="Q26" s="174">
        <f>O26/N26*100</f>
        <v>29.07540549486925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4900.82</v>
      </c>
      <c r="G27" s="198">
        <f t="shared" si="0"/>
        <v>-3279.1800000000003</v>
      </c>
      <c r="H27" s="199">
        <f t="shared" si="3"/>
        <v>59.912224938875305</v>
      </c>
      <c r="I27" s="200">
        <f t="shared" si="4"/>
        <v>-52632.18</v>
      </c>
      <c r="J27" s="200">
        <f t="shared" si="5"/>
        <v>8.518276467418698</v>
      </c>
      <c r="K27" s="200">
        <v>6708.33</v>
      </c>
      <c r="L27" s="200">
        <f t="shared" si="1"/>
        <v>-1807.5100000000002</v>
      </c>
      <c r="M27" s="228">
        <f t="shared" si="2"/>
        <v>0.7305573816434194</v>
      </c>
      <c r="N27" s="237">
        <f>E27-'січень 17'!E27</f>
        <v>4650</v>
      </c>
      <c r="O27" s="237">
        <f>F27-'січень 17'!F27</f>
        <v>1100.9599999999996</v>
      </c>
      <c r="P27" s="200">
        <f t="shared" si="6"/>
        <v>-3549.0400000000004</v>
      </c>
      <c r="Q27" s="200">
        <f>O27/N27*100</f>
        <v>23.676559139784935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12139.61</v>
      </c>
      <c r="G28" s="198">
        <f t="shared" si="0"/>
        <v>-7335.389999999999</v>
      </c>
      <c r="H28" s="199">
        <f t="shared" si="3"/>
        <v>62.33432605905007</v>
      </c>
      <c r="I28" s="200">
        <f t="shared" si="4"/>
        <v>-113319.39</v>
      </c>
      <c r="J28" s="200">
        <f t="shared" si="5"/>
        <v>9.676157150941743</v>
      </c>
      <c r="K28" s="200">
        <v>15048.75</v>
      </c>
      <c r="L28" s="200">
        <f t="shared" si="1"/>
        <v>-2909.1399999999994</v>
      </c>
      <c r="M28" s="228">
        <f t="shared" si="2"/>
        <v>0.8066856051167041</v>
      </c>
      <c r="N28" s="237">
        <f>E28-'січень 17'!E28</f>
        <v>10455</v>
      </c>
      <c r="O28" s="237">
        <f>F28-'січень 17'!F28</f>
        <v>3290.880000000001</v>
      </c>
      <c r="P28" s="200">
        <f t="shared" si="6"/>
        <v>-7164.119999999999</v>
      </c>
      <c r="Q28" s="200">
        <f>O28/N28*100</f>
        <v>31.476614060258257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46873.11</v>
      </c>
      <c r="G32" s="162">
        <f t="shared" si="0"/>
        <v>3044.4100000000035</v>
      </c>
      <c r="H32" s="164">
        <f t="shared" si="3"/>
        <v>106.94615628572146</v>
      </c>
      <c r="I32" s="165">
        <f t="shared" si="4"/>
        <v>-147520.99</v>
      </c>
      <c r="J32" s="165">
        <f t="shared" si="5"/>
        <v>24.11241390556606</v>
      </c>
      <c r="K32" s="178">
        <v>33594.51</v>
      </c>
      <c r="L32" s="178">
        <f>F32-K32</f>
        <v>13278.599999999999</v>
      </c>
      <c r="M32" s="226">
        <f>F32/K32</f>
        <v>1.395261011397398</v>
      </c>
      <c r="N32" s="157">
        <f>E32-'січень 17'!E32</f>
        <v>23609.999999999996</v>
      </c>
      <c r="O32" s="160">
        <f>F32-'січень 17'!F32</f>
        <v>26223.43</v>
      </c>
      <c r="P32" s="167">
        <f t="shared" si="6"/>
        <v>2613.430000000004</v>
      </c>
      <c r="Q32" s="165">
        <f>O32/N32*100</f>
        <v>111.06916560779332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9651.83</v>
      </c>
      <c r="G34" s="103">
        <f t="shared" si="0"/>
        <v>541.8299999999999</v>
      </c>
      <c r="H34" s="105">
        <f t="shared" si="3"/>
        <v>105.9476399560922</v>
      </c>
      <c r="I34" s="104">
        <f t="shared" si="4"/>
        <v>-31348.17</v>
      </c>
      <c r="J34" s="104">
        <f t="shared" si="5"/>
        <v>23.541048780487806</v>
      </c>
      <c r="K34" s="127">
        <v>8679.27</v>
      </c>
      <c r="L34" s="127">
        <f t="shared" si="1"/>
        <v>972.5599999999995</v>
      </c>
      <c r="M34" s="216">
        <f t="shared" si="10"/>
        <v>1.1120555069723606</v>
      </c>
      <c r="N34" s="105">
        <f>E34-'січень 17'!E34</f>
        <v>5610</v>
      </c>
      <c r="O34" s="144">
        <f>F34-'січень 17'!F34</f>
        <v>6066.799999999999</v>
      </c>
      <c r="P34" s="106">
        <f t="shared" si="6"/>
        <v>456.7999999999993</v>
      </c>
      <c r="Q34" s="104">
        <f>O34/N34*100</f>
        <v>108.14260249554366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37205.16</v>
      </c>
      <c r="G35" s="103">
        <f t="shared" si="0"/>
        <v>2505.1600000000035</v>
      </c>
      <c r="H35" s="105">
        <f t="shared" si="3"/>
        <v>107.21948126801153</v>
      </c>
      <c r="I35" s="104">
        <f t="shared" si="4"/>
        <v>-116133.94</v>
      </c>
      <c r="J35" s="104">
        <f t="shared" si="5"/>
        <v>24.26332227070591</v>
      </c>
      <c r="K35" s="127">
        <v>24907.67</v>
      </c>
      <c r="L35" s="127">
        <f t="shared" si="1"/>
        <v>12297.490000000005</v>
      </c>
      <c r="M35" s="216">
        <f t="shared" si="10"/>
        <v>1.493723017849522</v>
      </c>
      <c r="N35" s="105">
        <f>E35-'січень 17'!E35</f>
        <v>18000</v>
      </c>
      <c r="O35" s="144">
        <f>F35-'січень 17'!F35</f>
        <v>20156.620000000003</v>
      </c>
      <c r="P35" s="106">
        <f t="shared" si="6"/>
        <v>2156.6200000000026</v>
      </c>
      <c r="Q35" s="104">
        <f>O35/N35*100</f>
        <v>111.98122222222224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8311.039999999999</v>
      </c>
      <c r="G38" s="151">
        <f>G39+G40+G41+G42+G43+G45+G47+G48+G49+G50+G51+G56+G57+G61</f>
        <v>550.5399999999998</v>
      </c>
      <c r="H38" s="152">
        <f>F38/E38*100</f>
        <v>106.90678020606885</v>
      </c>
      <c r="I38" s="153">
        <f>F38-D38</f>
        <v>-50713.96</v>
      </c>
      <c r="J38" s="153">
        <f>F38/D38*100</f>
        <v>14.080542143159677</v>
      </c>
      <c r="K38" s="151">
        <v>4916.44</v>
      </c>
      <c r="L38" s="151">
        <f t="shared" si="1"/>
        <v>3394.5999999999995</v>
      </c>
      <c r="M38" s="205">
        <f t="shared" si="10"/>
        <v>1.690458949971931</v>
      </c>
      <c r="N38" s="151">
        <f>N39+N40+N41+N42+N43+N45+N47+N48+N49+N50+N51+N56+N57+N61+N44</f>
        <v>4786.3</v>
      </c>
      <c r="O38" s="151">
        <f>O39+O40+O41+O42+O43+O45+O47+O48+O49+O50+O51+O56+O57+O61+O44</f>
        <v>4083.3100000000004</v>
      </c>
      <c r="P38" s="151">
        <f>P39+P40+P41+P42+P43+P45+P47+P48+P49+P50+P51+P56+P57+P61</f>
        <v>-696.19</v>
      </c>
      <c r="Q38" s="151">
        <f>O38/N38*100</f>
        <v>85.31245429663834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47.91</v>
      </c>
      <c r="G41" s="162">
        <f t="shared" si="12"/>
        <v>31.909999999999997</v>
      </c>
      <c r="H41" s="164">
        <f aca="true" t="shared" si="15" ref="H41:H62">F41/E41*100</f>
        <v>299.4375</v>
      </c>
      <c r="I41" s="165">
        <f t="shared" si="13"/>
        <v>7.909999999999997</v>
      </c>
      <c r="J41" s="165">
        <f aca="true" t="shared" si="16" ref="J41:J62">F41/D41*100</f>
        <v>119.77499999999999</v>
      </c>
      <c r="K41" s="165">
        <v>24.38</v>
      </c>
      <c r="L41" s="165">
        <f t="shared" si="1"/>
        <v>23.529999999999998</v>
      </c>
      <c r="M41" s="218">
        <f aca="true" t="shared" si="17" ref="M41:M63">F41/K41</f>
        <v>1.9651353568498768</v>
      </c>
      <c r="N41" s="164">
        <f>E41-'січень 17'!E41</f>
        <v>6</v>
      </c>
      <c r="O41" s="168">
        <f>F41-'січень 17'!F41</f>
        <v>33.04</v>
      </c>
      <c r="P41" s="167">
        <f t="shared" si="14"/>
        <v>27.04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77.53</v>
      </c>
      <c r="G43" s="162">
        <f t="shared" si="12"/>
        <v>37.53</v>
      </c>
      <c r="H43" s="164">
        <f t="shared" si="15"/>
        <v>193.825</v>
      </c>
      <c r="I43" s="165">
        <f t="shared" si="13"/>
        <v>-182.47</v>
      </c>
      <c r="J43" s="165">
        <f t="shared" si="16"/>
        <v>29.81923076923077</v>
      </c>
      <c r="K43" s="165">
        <v>3.65</v>
      </c>
      <c r="L43" s="165">
        <f t="shared" si="1"/>
        <v>73.88</v>
      </c>
      <c r="M43" s="218">
        <f t="shared" si="17"/>
        <v>21.24109589041096</v>
      </c>
      <c r="N43" s="164">
        <f>E43-'січень 17'!E43</f>
        <v>20</v>
      </c>
      <c r="O43" s="168">
        <f>F43-'січень 17'!F43</f>
        <v>66.36</v>
      </c>
      <c r="P43" s="167">
        <f t="shared" si="14"/>
        <v>46.36</v>
      </c>
      <c r="Q43" s="165">
        <f t="shared" si="11"/>
        <v>331.8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175.49</v>
      </c>
      <c r="G45" s="162">
        <f t="shared" si="12"/>
        <v>55.49000000000001</v>
      </c>
      <c r="H45" s="164">
        <f t="shared" si="15"/>
        <v>146.24166666666667</v>
      </c>
      <c r="I45" s="165">
        <f t="shared" si="13"/>
        <v>-554.51</v>
      </c>
      <c r="J45" s="165">
        <f t="shared" si="16"/>
        <v>24.03972602739726</v>
      </c>
      <c r="K45" s="165">
        <v>0</v>
      </c>
      <c r="L45" s="165">
        <f t="shared" si="1"/>
        <v>175.49</v>
      </c>
      <c r="M45" s="218"/>
      <c r="N45" s="164">
        <f>E45-'січень 17'!E45</f>
        <v>60</v>
      </c>
      <c r="O45" s="168">
        <f>F45-'січень 17'!F45</f>
        <v>86.04</v>
      </c>
      <c r="P45" s="167">
        <f t="shared" si="14"/>
        <v>26.040000000000006</v>
      </c>
      <c r="Q45" s="165">
        <f t="shared" si="11"/>
        <v>143.4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1916.29</v>
      </c>
      <c r="G47" s="162">
        <f t="shared" si="12"/>
        <v>516.29</v>
      </c>
      <c r="H47" s="164">
        <f t="shared" si="15"/>
        <v>136.87785714285715</v>
      </c>
      <c r="I47" s="165">
        <f t="shared" si="13"/>
        <v>-9083.71</v>
      </c>
      <c r="J47" s="165">
        <f t="shared" si="16"/>
        <v>17.42081818181818</v>
      </c>
      <c r="K47" s="165">
        <v>1351.17</v>
      </c>
      <c r="L47" s="165">
        <f t="shared" si="1"/>
        <v>565.1199999999999</v>
      </c>
      <c r="M47" s="218">
        <f t="shared" si="17"/>
        <v>1.4182449284694005</v>
      </c>
      <c r="N47" s="164">
        <f>E47-'січень 17'!E47</f>
        <v>800</v>
      </c>
      <c r="O47" s="168">
        <f>F47-'січень 17'!F47</f>
        <v>863.73</v>
      </c>
      <c r="P47" s="167">
        <f t="shared" si="14"/>
        <v>63.73000000000002</v>
      </c>
      <c r="Q47" s="165">
        <f t="shared" si="11"/>
        <v>107.96625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82.56</v>
      </c>
      <c r="G48" s="162">
        <f t="shared" si="12"/>
        <v>32.56</v>
      </c>
      <c r="H48" s="164">
        <f t="shared" si="15"/>
        <v>165.12</v>
      </c>
      <c r="I48" s="165">
        <f t="shared" si="13"/>
        <v>-227.44</v>
      </c>
      <c r="J48" s="165">
        <f t="shared" si="16"/>
        <v>26.63225806451613</v>
      </c>
      <c r="K48" s="165">
        <v>1.03</v>
      </c>
      <c r="L48" s="165">
        <f t="shared" si="1"/>
        <v>81.53</v>
      </c>
      <c r="M48" s="218"/>
      <c r="N48" s="164">
        <f>E48-'січень 17'!E48</f>
        <v>25</v>
      </c>
      <c r="O48" s="168">
        <f>F48-'січень 17'!F48</f>
        <v>38.03</v>
      </c>
      <c r="P48" s="167">
        <f t="shared" si="14"/>
        <v>13.030000000000001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83.83</v>
      </c>
      <c r="G51" s="162">
        <f t="shared" si="12"/>
        <v>-56.17</v>
      </c>
      <c r="H51" s="164">
        <f t="shared" si="15"/>
        <v>59.878571428571426</v>
      </c>
      <c r="I51" s="165">
        <f t="shared" si="13"/>
        <v>-1116.17</v>
      </c>
      <c r="J51" s="165">
        <f t="shared" si="16"/>
        <v>6.985833333333333</v>
      </c>
      <c r="K51" s="165">
        <v>965.16</v>
      </c>
      <c r="L51" s="165">
        <f t="shared" si="1"/>
        <v>-881.3299999999999</v>
      </c>
      <c r="M51" s="218">
        <f t="shared" si="17"/>
        <v>0.08685606531559534</v>
      </c>
      <c r="N51" s="164">
        <f>E51-'січень 17'!E51</f>
        <v>85</v>
      </c>
      <c r="O51" s="168">
        <f>F51-'січень 17'!F51</f>
        <v>43.739999999999995</v>
      </c>
      <c r="P51" s="167">
        <f t="shared" si="14"/>
        <v>-41.260000000000005</v>
      </c>
      <c r="Q51" s="165">
        <f t="shared" si="11"/>
        <v>51.45882352941176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70.06</v>
      </c>
      <c r="G52" s="34">
        <f t="shared" si="12"/>
        <v>-39.94</v>
      </c>
      <c r="H52" s="30">
        <f t="shared" si="15"/>
        <v>63.690909090909095</v>
      </c>
      <c r="I52" s="104">
        <f t="shared" si="13"/>
        <v>-927.94</v>
      </c>
      <c r="J52" s="104">
        <f t="shared" si="16"/>
        <v>7.020040080160321</v>
      </c>
      <c r="K52" s="104">
        <v>86.43</v>
      </c>
      <c r="L52" s="104">
        <f>F52-K52</f>
        <v>-16.370000000000005</v>
      </c>
      <c r="M52" s="109">
        <f t="shared" si="17"/>
        <v>0.8105981719310424</v>
      </c>
      <c r="N52" s="164">
        <f>E52-'січень 17'!E52</f>
        <v>70</v>
      </c>
      <c r="O52" s="168">
        <f>F52-'січень 17'!F52</f>
        <v>37.25</v>
      </c>
      <c r="P52" s="106">
        <f t="shared" si="14"/>
        <v>-32.75</v>
      </c>
      <c r="Q52" s="119">
        <f t="shared" si="11"/>
        <v>53.214285714285715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13.67</v>
      </c>
      <c r="G55" s="34">
        <f t="shared" si="12"/>
        <v>-16.33</v>
      </c>
      <c r="H55" s="30">
        <f t="shared" si="15"/>
        <v>45.56666666666666</v>
      </c>
      <c r="I55" s="104">
        <f t="shared" si="13"/>
        <v>-186.33</v>
      </c>
      <c r="J55" s="104">
        <f t="shared" si="16"/>
        <v>6.834999999999999</v>
      </c>
      <c r="K55" s="104">
        <v>878.65</v>
      </c>
      <c r="L55" s="104">
        <f>F55-K55</f>
        <v>-864.98</v>
      </c>
      <c r="M55" s="109">
        <f t="shared" si="17"/>
        <v>0.015557958231377683</v>
      </c>
      <c r="N55" s="164">
        <f>E55-'січень 17'!E55</f>
        <v>15</v>
      </c>
      <c r="O55" s="168">
        <f>F55-'січень 17'!F55</f>
        <v>6.4</v>
      </c>
      <c r="P55" s="106">
        <f t="shared" si="14"/>
        <v>-8.6</v>
      </c>
      <c r="Q55" s="119">
        <f t="shared" si="11"/>
        <v>42.66666666666667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2601.99</v>
      </c>
      <c r="G57" s="162">
        <f t="shared" si="12"/>
        <v>401.9899999999998</v>
      </c>
      <c r="H57" s="164">
        <f t="shared" si="15"/>
        <v>118.27227272727272</v>
      </c>
      <c r="I57" s="165">
        <f t="shared" si="13"/>
        <v>-4748.01</v>
      </c>
      <c r="J57" s="165">
        <f t="shared" si="16"/>
        <v>35.401224489795915</v>
      </c>
      <c r="K57" s="165">
        <v>722.66</v>
      </c>
      <c r="L57" s="165">
        <f aca="true" t="shared" si="18" ref="L57:L63">F57-K57</f>
        <v>1879.33</v>
      </c>
      <c r="M57" s="218">
        <f t="shared" si="17"/>
        <v>3.6005728835136854</v>
      </c>
      <c r="N57" s="164">
        <f>E57-'січень 17'!E57</f>
        <v>600</v>
      </c>
      <c r="O57" s="168">
        <f>F57-'січень 17'!F57</f>
        <v>354.65999999999985</v>
      </c>
      <c r="P57" s="167">
        <f t="shared" si="14"/>
        <v>-245.34000000000015</v>
      </c>
      <c r="Q57" s="165">
        <f t="shared" si="11"/>
        <v>59.10999999999997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281.28</v>
      </c>
      <c r="G59" s="162"/>
      <c r="H59" s="164"/>
      <c r="I59" s="165"/>
      <c r="J59" s="165"/>
      <c r="K59" s="166">
        <v>147.3</v>
      </c>
      <c r="L59" s="165">
        <f t="shared" si="18"/>
        <v>133.97999999999996</v>
      </c>
      <c r="M59" s="218">
        <f t="shared" si="17"/>
        <v>1.9095723014256616</v>
      </c>
      <c r="N59" s="164">
        <f>E59-'січень 17'!E59</f>
        <v>0</v>
      </c>
      <c r="O59" s="168">
        <f>F59-'січень 17'!F59</f>
        <v>114.06999999999996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174046.99000000005</v>
      </c>
      <c r="G64" s="151">
        <f>F64-E64</f>
        <v>-29975.109999999957</v>
      </c>
      <c r="H64" s="152">
        <f>F64/E64*100</f>
        <v>85.30791027050503</v>
      </c>
      <c r="I64" s="153">
        <f>F64-D64</f>
        <v>-1183444.11</v>
      </c>
      <c r="J64" s="153">
        <f>F64/D64*100</f>
        <v>12.821225126264183</v>
      </c>
      <c r="K64" s="153">
        <v>145343.26</v>
      </c>
      <c r="L64" s="153">
        <f>F64-K64</f>
        <v>28703.73000000004</v>
      </c>
      <c r="M64" s="219">
        <f>F64/K64</f>
        <v>1.1974892402991377</v>
      </c>
      <c r="N64" s="151">
        <f>N8+N38+N62+N63</f>
        <v>106665.6</v>
      </c>
      <c r="O64" s="151">
        <f>O8+O38+O62+O63</f>
        <v>75960.80000000002</v>
      </c>
      <c r="P64" s="155">
        <f>O64-N64</f>
        <v>-30704.79999999999</v>
      </c>
      <c r="Q64" s="153">
        <f>O64/N64*100</f>
        <v>71.21396213962142</v>
      </c>
      <c r="R64" s="27">
        <f>O64-34768</f>
        <v>41192.80000000002</v>
      </c>
      <c r="S64" s="115">
        <f>O64/34768</f>
        <v>2.1847906120570646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0.06</v>
      </c>
      <c r="G73" s="162">
        <f aca="true" t="shared" si="19" ref="G73:G84">F73-E73</f>
        <v>0.06</v>
      </c>
      <c r="H73" s="164"/>
      <c r="I73" s="167">
        <f aca="true" t="shared" si="20" ref="I73:I84">F73-D73</f>
        <v>-104205.97</v>
      </c>
      <c r="J73" s="167">
        <f>F73/D73*100</f>
        <v>5.757824187333497E-05</v>
      </c>
      <c r="K73" s="167">
        <v>0.1</v>
      </c>
      <c r="L73" s="167">
        <f aca="true" t="shared" si="21" ref="L73:L84">F73-K73</f>
        <v>-0.04000000000000001</v>
      </c>
      <c r="M73" s="209">
        <f>F73/K73</f>
        <v>0.6</v>
      </c>
      <c r="N73" s="164">
        <f>E73-'січень 17'!E73</f>
        <v>0</v>
      </c>
      <c r="O73" s="168">
        <f>F73-'січень 17'!F73</f>
        <v>0.019999999999999997</v>
      </c>
      <c r="P73" s="167">
        <f aca="true" t="shared" si="22" ref="P73:P86">O73-N73</f>
        <v>0.019999999999999997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38.55</v>
      </c>
      <c r="G74" s="162">
        <f t="shared" si="19"/>
        <v>-1191.45</v>
      </c>
      <c r="H74" s="164">
        <f>F74/E74*100</f>
        <v>3.1341463414634148</v>
      </c>
      <c r="I74" s="167">
        <f t="shared" si="20"/>
        <v>-53961.45</v>
      </c>
      <c r="J74" s="167">
        <f>F74/D74*100</f>
        <v>0.07138888888888888</v>
      </c>
      <c r="K74" s="167">
        <v>376.67</v>
      </c>
      <c r="L74" s="167">
        <f t="shared" si="21"/>
        <v>-338.12</v>
      </c>
      <c r="M74" s="209">
        <f>F74/K74</f>
        <v>0.10234422704223856</v>
      </c>
      <c r="N74" s="164">
        <f>E74-'січень 17'!E74</f>
        <v>630</v>
      </c>
      <c r="O74" s="168">
        <f>F74-'січень 17'!F74</f>
        <v>36.65</v>
      </c>
      <c r="P74" s="167">
        <f t="shared" si="22"/>
        <v>-593.35</v>
      </c>
      <c r="Q74" s="167">
        <f>O74/N74*100</f>
        <v>5.817460317460317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1095.59</v>
      </c>
      <c r="G75" s="162">
        <f t="shared" si="19"/>
        <v>295.5899999999999</v>
      </c>
      <c r="H75" s="164">
        <f>F75/E75*100</f>
        <v>136.94875</v>
      </c>
      <c r="I75" s="167">
        <f t="shared" si="20"/>
        <v>-77904.41</v>
      </c>
      <c r="J75" s="167">
        <f>F75/D75*100</f>
        <v>1.3868227848101264</v>
      </c>
      <c r="K75" s="167">
        <v>646.84</v>
      </c>
      <c r="L75" s="167">
        <f t="shared" si="21"/>
        <v>448.7499999999999</v>
      </c>
      <c r="M75" s="209">
        <f>F75/K75</f>
        <v>1.6937573433924926</v>
      </c>
      <c r="N75" s="164">
        <f>E75-'січень 17'!E75</f>
        <v>400</v>
      </c>
      <c r="O75" s="168">
        <f>F75-'січень 17'!F75</f>
        <v>1005.4699999999999</v>
      </c>
      <c r="P75" s="167">
        <f t="shared" si="22"/>
        <v>605.4699999999999</v>
      </c>
      <c r="Q75" s="167">
        <f>O75/N75*100</f>
        <v>251.36749999999998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1136.1999999999998</v>
      </c>
      <c r="G77" s="185">
        <f t="shared" si="19"/>
        <v>-895.8000000000002</v>
      </c>
      <c r="H77" s="186">
        <f>F77/E77*100</f>
        <v>55.91535433070865</v>
      </c>
      <c r="I77" s="187">
        <f t="shared" si="20"/>
        <v>-236081.83</v>
      </c>
      <c r="J77" s="187">
        <f>F77/D77*100</f>
        <v>0.47896865175045916</v>
      </c>
      <c r="K77" s="187">
        <v>1025.62</v>
      </c>
      <c r="L77" s="187">
        <f t="shared" si="21"/>
        <v>110.57999999999993</v>
      </c>
      <c r="M77" s="214">
        <f>F77/K77</f>
        <v>1.1078177102630604</v>
      </c>
      <c r="N77" s="185">
        <f>N73+N74+N75+N76</f>
        <v>1031</v>
      </c>
      <c r="O77" s="189">
        <f>O73+O74+O75+O76</f>
        <v>1043.1399999999999</v>
      </c>
      <c r="P77" s="187">
        <f t="shared" si="22"/>
        <v>12.139999999999873</v>
      </c>
      <c r="Q77" s="187">
        <f>O77/N77*100</f>
        <v>101.17749757516972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8.49</v>
      </c>
      <c r="G78" s="162">
        <f t="shared" si="19"/>
        <v>8.49</v>
      </c>
      <c r="H78" s="164"/>
      <c r="I78" s="167">
        <f t="shared" si="20"/>
        <v>-31.509999999999998</v>
      </c>
      <c r="J78" s="167"/>
      <c r="K78" s="167">
        <v>0.01</v>
      </c>
      <c r="L78" s="167">
        <f t="shared" si="21"/>
        <v>8.48</v>
      </c>
      <c r="M78" s="209">
        <f>F78/K78</f>
        <v>849</v>
      </c>
      <c r="N78" s="164">
        <f>E78-'січень 17'!E78</f>
        <v>0</v>
      </c>
      <c r="O78" s="168">
        <f>F78-'січень 17'!F78</f>
        <v>8.15</v>
      </c>
      <c r="P78" s="167">
        <f t="shared" si="22"/>
        <v>8.15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2217.1</v>
      </c>
      <c r="G80" s="162">
        <f t="shared" si="19"/>
        <v>-132.9000000000001</v>
      </c>
      <c r="H80" s="164">
        <f>F80/E80*100</f>
        <v>94.34468085106383</v>
      </c>
      <c r="I80" s="167">
        <f t="shared" si="20"/>
        <v>-6142.9</v>
      </c>
      <c r="J80" s="167">
        <f>F80/D80*100</f>
        <v>26.520334928229666</v>
      </c>
      <c r="K80" s="167">
        <v>2013.66</v>
      </c>
      <c r="L80" s="167">
        <f t="shared" si="21"/>
        <v>203.43999999999983</v>
      </c>
      <c r="M80" s="209"/>
      <c r="N80" s="164">
        <f>E80-'січень 17'!E80</f>
        <v>2342.5</v>
      </c>
      <c r="O80" s="168">
        <f>F80-'січень 17'!F80</f>
        <v>2205.62</v>
      </c>
      <c r="P80" s="167">
        <f>O80-N80</f>
        <v>-136.8800000000001</v>
      </c>
      <c r="Q80" s="190">
        <f>O80/N80*100</f>
        <v>94.15667022411952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2225.62</v>
      </c>
      <c r="G82" s="183">
        <f>G78+G81+G79+G80</f>
        <v>-124.3800000000001</v>
      </c>
      <c r="H82" s="186">
        <f>F82/E82*100</f>
        <v>94.7072340425532</v>
      </c>
      <c r="I82" s="187">
        <f t="shared" si="20"/>
        <v>-6174.38</v>
      </c>
      <c r="J82" s="187">
        <f>F82/D82*100</f>
        <v>26.495476190476193</v>
      </c>
      <c r="K82" s="187">
        <v>2013.84</v>
      </c>
      <c r="L82" s="187">
        <f t="shared" si="21"/>
        <v>211.77999999999997</v>
      </c>
      <c r="M82" s="220">
        <f t="shared" si="24"/>
        <v>1.1051622770428633</v>
      </c>
      <c r="N82" s="185">
        <f>N78+N81+N79+N80</f>
        <v>2342.5</v>
      </c>
      <c r="O82" s="189">
        <f>O78+O81+O79+O80</f>
        <v>2213.7999999999997</v>
      </c>
      <c r="P82" s="185">
        <f>P78+P81+P79+P80</f>
        <v>-128.7000000000001</v>
      </c>
      <c r="Q82" s="187">
        <f>O82/N82*100</f>
        <v>94.50586979722517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0.66</v>
      </c>
      <c r="G83" s="162">
        <f t="shared" si="19"/>
        <v>-4.24</v>
      </c>
      <c r="H83" s="164">
        <f>F83/E83*100</f>
        <v>13.46938775510204</v>
      </c>
      <c r="I83" s="167">
        <f t="shared" si="20"/>
        <v>-37.34</v>
      </c>
      <c r="J83" s="167">
        <f>F83/D83*100</f>
        <v>1.7368421052631577</v>
      </c>
      <c r="K83" s="167">
        <v>0.69</v>
      </c>
      <c r="L83" s="167">
        <f t="shared" si="21"/>
        <v>-0.029999999999999916</v>
      </c>
      <c r="M83" s="209">
        <f t="shared" si="24"/>
        <v>0.9565217391304349</v>
      </c>
      <c r="N83" s="164">
        <f>E83-'січень 17'!E83</f>
        <v>2.5000000000000004</v>
      </c>
      <c r="O83" s="168">
        <f>F83-'січень 17'!F83</f>
        <v>0.32</v>
      </c>
      <c r="P83" s="167">
        <f t="shared" si="22"/>
        <v>-2.1800000000000006</v>
      </c>
      <c r="Q83" s="167">
        <f>O83/N83</f>
        <v>0.12799999999999997</v>
      </c>
      <c r="R83" s="38"/>
      <c r="S83" s="97"/>
      <c r="T83" s="147">
        <f t="shared" si="23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9"/>
        <v>26.66</v>
      </c>
      <c r="H84" s="164"/>
      <c r="I84" s="167">
        <f t="shared" si="20"/>
        <v>26.66</v>
      </c>
      <c r="J84" s="167"/>
      <c r="K84" s="167">
        <v>0</v>
      </c>
      <c r="L84" s="167">
        <f t="shared" si="21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2"/>
        <v>14.85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245656.03</v>
      </c>
      <c r="E85" s="191">
        <f>E71+E83+E77+E82+E84</f>
        <v>4386.9</v>
      </c>
      <c r="F85" s="191">
        <f>F71+F83+F77+F82+F84</f>
        <v>3389.1499999999996</v>
      </c>
      <c r="G85" s="192">
        <f>F85-E85</f>
        <v>-997.75</v>
      </c>
      <c r="H85" s="193">
        <f>F85/E85*100</f>
        <v>77.25614898903554</v>
      </c>
      <c r="I85" s="194">
        <f>F85-D85</f>
        <v>-242266.88</v>
      </c>
      <c r="J85" s="194">
        <f>F85/D85*100</f>
        <v>1.3796323257361114</v>
      </c>
      <c r="K85" s="194">
        <v>3039.87</v>
      </c>
      <c r="L85" s="194">
        <f>F85-K85</f>
        <v>349.27999999999975</v>
      </c>
      <c r="M85" s="221">
        <f t="shared" si="24"/>
        <v>1.1148996503139936</v>
      </c>
      <c r="N85" s="191">
        <f>N71+N83+N77+N82+N84</f>
        <v>3376</v>
      </c>
      <c r="O85" s="191">
        <f>O71+O83+O77+O82+O84</f>
        <v>3272.109999999999</v>
      </c>
      <c r="P85" s="194">
        <f t="shared" si="22"/>
        <v>-103.89000000000078</v>
      </c>
      <c r="Q85" s="194">
        <f>O85/N85*100</f>
        <v>96.92268957345969</v>
      </c>
      <c r="R85" s="27">
        <f>O85-8104.96</f>
        <v>-4832.85</v>
      </c>
      <c r="S85" s="95">
        <f>O85/8104.96</f>
        <v>0.4037169831806695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177436.14000000004</v>
      </c>
      <c r="G86" s="192">
        <f>F86-E86</f>
        <v>-30972.859999999957</v>
      </c>
      <c r="H86" s="193">
        <f>F86/E86*100</f>
        <v>85.1384249240676</v>
      </c>
      <c r="I86" s="194">
        <f>F86-D86</f>
        <v>-1425710.99</v>
      </c>
      <c r="J86" s="194">
        <f>F86/D86*100</f>
        <v>11.06798850084334</v>
      </c>
      <c r="K86" s="194">
        <f>K64+K85</f>
        <v>148383.13</v>
      </c>
      <c r="L86" s="194">
        <f>F86-K86</f>
        <v>29053.01000000004</v>
      </c>
      <c r="M86" s="221">
        <f t="shared" si="24"/>
        <v>1.1957972580845277</v>
      </c>
      <c r="N86" s="192">
        <f>N64+N85</f>
        <v>110041.6</v>
      </c>
      <c r="O86" s="192">
        <f>O64+O85</f>
        <v>79232.91000000002</v>
      </c>
      <c r="P86" s="194">
        <f t="shared" si="22"/>
        <v>-30808.689999999988</v>
      </c>
      <c r="Q86" s="194">
        <f>O86/N86*100</f>
        <v>72.00268807432828</v>
      </c>
      <c r="R86" s="27">
        <f>O86-42872.96</f>
        <v>36359.95000000002</v>
      </c>
      <c r="S86" s="95">
        <f>O86/42872.96</f>
        <v>1.8480858331218564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5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>
        <f>IF(P64&lt;0,ABS(P64/C88),0)</f>
        <v>6140.959999999997</v>
      </c>
      <c r="D89" s="4" t="s">
        <v>24</v>
      </c>
      <c r="G89" s="265"/>
      <c r="H89" s="265"/>
      <c r="I89" s="265"/>
      <c r="J89" s="265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42788</v>
      </c>
      <c r="D90" s="29">
        <v>4980.6</v>
      </c>
      <c r="G90" s="4" t="s">
        <v>58</v>
      </c>
      <c r="O90" s="266"/>
      <c r="P90" s="266"/>
      <c r="T90" s="147">
        <f t="shared" si="23"/>
        <v>4980.6</v>
      </c>
    </row>
    <row r="91" spans="3:16" ht="15">
      <c r="C91" s="81">
        <v>42787</v>
      </c>
      <c r="D91" s="29">
        <v>4141</v>
      </c>
      <c r="F91" s="113" t="s">
        <v>58</v>
      </c>
      <c r="G91" s="267"/>
      <c r="H91" s="267"/>
      <c r="I91" s="118"/>
      <c r="J91" s="268"/>
      <c r="K91" s="268"/>
      <c r="L91" s="268"/>
      <c r="M91" s="268"/>
      <c r="N91" s="268"/>
      <c r="O91" s="266"/>
      <c r="P91" s="266"/>
    </row>
    <row r="92" spans="3:16" ht="15.75" customHeight="1">
      <c r="C92" s="81">
        <v>42786</v>
      </c>
      <c r="D92" s="29">
        <v>4687.88</v>
      </c>
      <c r="F92" s="68"/>
      <c r="G92" s="267"/>
      <c r="H92" s="267"/>
      <c r="I92" s="118"/>
      <c r="J92" s="269"/>
      <c r="K92" s="269"/>
      <c r="L92" s="269"/>
      <c r="M92" s="269"/>
      <c r="N92" s="269"/>
      <c r="O92" s="266"/>
      <c r="P92" s="266"/>
    </row>
    <row r="93" spans="3:14" ht="15.75" customHeight="1">
      <c r="C93" s="81"/>
      <c r="F93" s="68"/>
      <c r="G93" s="273"/>
      <c r="H93" s="273"/>
      <c r="I93" s="124"/>
      <c r="J93" s="268"/>
      <c r="K93" s="268"/>
      <c r="L93" s="268"/>
      <c r="M93" s="268"/>
      <c r="N93" s="268"/>
    </row>
    <row r="94" spans="2:14" ht="18.75" customHeight="1">
      <c r="B94" s="274" t="s">
        <v>56</v>
      </c>
      <c r="C94" s="275"/>
      <c r="D94" s="133">
        <v>778.2684399999999</v>
      </c>
      <c r="E94" s="69"/>
      <c r="F94" s="125" t="s">
        <v>107</v>
      </c>
      <c r="G94" s="267"/>
      <c r="H94" s="267"/>
      <c r="I94" s="126"/>
      <c r="J94" s="268"/>
      <c r="K94" s="268"/>
      <c r="L94" s="268"/>
      <c r="M94" s="268"/>
      <c r="N94" s="268"/>
    </row>
    <row r="95" spans="6:13" ht="9.75" customHeight="1">
      <c r="F95" s="68"/>
      <c r="G95" s="267"/>
      <c r="H95" s="267"/>
      <c r="I95" s="68"/>
      <c r="J95" s="69"/>
      <c r="K95" s="69"/>
      <c r="L95" s="69"/>
      <c r="M95" s="69"/>
    </row>
    <row r="96" spans="2:13" ht="22.5" customHeight="1" hidden="1">
      <c r="B96" s="270" t="s">
        <v>59</v>
      </c>
      <c r="C96" s="271"/>
      <c r="D96" s="80">
        <v>0</v>
      </c>
      <c r="E96" s="51" t="s">
        <v>24</v>
      </c>
      <c r="F96" s="68"/>
      <c r="G96" s="267"/>
      <c r="H96" s="26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258.05</v>
      </c>
      <c r="G97" s="68">
        <f>G45+G48+G49</f>
        <v>86.05000000000001</v>
      </c>
      <c r="H97" s="69"/>
      <c r="I97" s="69"/>
      <c r="N97" s="29">
        <f>N45+N48+N49</f>
        <v>86</v>
      </c>
      <c r="O97" s="202">
        <f>O45+O48+O49</f>
        <v>124.07000000000001</v>
      </c>
      <c r="P97" s="29">
        <f>P45+P48+P49</f>
        <v>38.07000000000001</v>
      </c>
    </row>
    <row r="98" spans="4:16" ht="15" hidden="1">
      <c r="D98" s="78"/>
      <c r="I98" s="29"/>
      <c r="O98" s="272"/>
      <c r="P98" s="27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165748.83000000005</v>
      </c>
      <c r="G99" s="29">
        <f>F99-E99</f>
        <v>-30581.669999999955</v>
      </c>
      <c r="H99" s="230">
        <f>F99/E99</f>
        <v>0.8442337283305449</v>
      </c>
      <c r="I99" s="29">
        <f>F99-D99</f>
        <v>-1133299.77</v>
      </c>
      <c r="J99" s="230">
        <f>F99/D99</f>
        <v>0.1275924780643311</v>
      </c>
      <c r="N99" s="29">
        <f>N9+N15+N17+N18+N19+N20+N39+N42+N44+N56+N62+N63</f>
        <v>101968.6</v>
      </c>
      <c r="O99" s="229">
        <f>O9+O15+O17+O18+O19+O20+O39+O42+O44+O56+O62+O63</f>
        <v>71880.52000000002</v>
      </c>
      <c r="P99" s="29">
        <f>O99-N99</f>
        <v>-30088.079999999987</v>
      </c>
      <c r="Q99" s="230">
        <f>O99/N99</f>
        <v>0.7049279876354094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8298.16</v>
      </c>
      <c r="G100" s="29">
        <f>G40+G41+G43+G45+G47+G48+G49+G50+G51+G57+G61+G44</f>
        <v>606.5599999999997</v>
      </c>
      <c r="H100" s="230">
        <f>F100/E100</f>
        <v>1.0788600551250713</v>
      </c>
      <c r="I100" s="29">
        <f>I40+I41+I43+I45+I47+I48+I49+I50+I51+I57+I61+I44</f>
        <v>-50144.340000000004</v>
      </c>
      <c r="J100" s="230">
        <f>F100/D100</f>
        <v>0.14198845018608033</v>
      </c>
      <c r="K100" s="29">
        <f aca="true" t="shared" si="25" ref="K100:P100">K40+K41+K43+K45+K47+K48+K49+K50+K51+K57+K61+K44</f>
        <v>4835.679999999999</v>
      </c>
      <c r="L100" s="29">
        <f t="shared" si="25"/>
        <v>3462.4799999999996</v>
      </c>
      <c r="M100" s="29">
        <f t="shared" si="25"/>
        <v>30.226242350618136</v>
      </c>
      <c r="N100" s="29">
        <f t="shared" si="25"/>
        <v>4703.8</v>
      </c>
      <c r="O100" s="229">
        <f t="shared" si="25"/>
        <v>4080.2799999999997</v>
      </c>
      <c r="P100" s="29">
        <f t="shared" si="25"/>
        <v>-616.72</v>
      </c>
      <c r="Q100" s="230">
        <f>O100/N100</f>
        <v>0.8674433436795781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174046.99000000005</v>
      </c>
      <c r="G101" s="29">
        <f t="shared" si="26"/>
        <v>-29975.109999999953</v>
      </c>
      <c r="H101" s="230">
        <f>F101/E101</f>
        <v>0.8530791027050503</v>
      </c>
      <c r="I101" s="29">
        <f t="shared" si="26"/>
        <v>-1183444.11</v>
      </c>
      <c r="J101" s="230">
        <f>F101/D101</f>
        <v>0.12821225126264182</v>
      </c>
      <c r="K101" s="29">
        <f t="shared" si="26"/>
        <v>4835.679999999999</v>
      </c>
      <c r="L101" s="29">
        <f t="shared" si="26"/>
        <v>3462.4799999999996</v>
      </c>
      <c r="M101" s="29">
        <f t="shared" si="26"/>
        <v>30.226242350618136</v>
      </c>
      <c r="N101" s="29">
        <f t="shared" si="26"/>
        <v>106672.40000000001</v>
      </c>
      <c r="O101" s="229">
        <f t="shared" si="26"/>
        <v>75960.80000000002</v>
      </c>
      <c r="P101" s="29">
        <f t="shared" si="26"/>
        <v>-30704.79999999999</v>
      </c>
      <c r="Q101" s="230">
        <f>O101/N101</f>
        <v>0.7120942249354099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0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25241.25000000004</v>
      </c>
      <c r="M102" s="29">
        <f t="shared" si="27"/>
        <v>-29.028753110319</v>
      </c>
      <c r="N102" s="29">
        <f t="shared" si="27"/>
        <v>-6.80000000000291</v>
      </c>
      <c r="O102" s="29">
        <f t="shared" si="27"/>
        <v>0</v>
      </c>
      <c r="P102" s="29">
        <f t="shared" si="27"/>
        <v>0</v>
      </c>
      <c r="Q102" s="29"/>
      <c r="R102" s="29">
        <f t="shared" si="27"/>
        <v>41192.80000000002</v>
      </c>
      <c r="S102" s="29">
        <f t="shared" si="27"/>
        <v>2.1847906120570646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zoomScale="81" zoomScaleNormal="81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" sqref="B3: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9" t="s">
        <v>144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86"/>
      <c r="S1" s="87"/>
    </row>
    <row r="2" spans="2:19" s="1" customFormat="1" ht="15.75" customHeight="1">
      <c r="B2" s="240"/>
      <c r="C2" s="240"/>
      <c r="D2" s="240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1"/>
      <c r="B3" s="243"/>
      <c r="C3" s="244" t="s">
        <v>0</v>
      </c>
      <c r="D3" s="245" t="s">
        <v>134</v>
      </c>
      <c r="E3" s="32"/>
      <c r="F3" s="246" t="s">
        <v>26</v>
      </c>
      <c r="G3" s="247"/>
      <c r="H3" s="247"/>
      <c r="I3" s="247"/>
      <c r="J3" s="248"/>
      <c r="K3" s="83"/>
      <c r="L3" s="83"/>
      <c r="M3" s="83"/>
      <c r="N3" s="249" t="s">
        <v>123</v>
      </c>
      <c r="O3" s="252" t="s">
        <v>118</v>
      </c>
      <c r="P3" s="252"/>
      <c r="Q3" s="252"/>
      <c r="R3" s="252"/>
      <c r="S3" s="252"/>
    </row>
    <row r="4" spans="1:19" ht="22.5" customHeight="1">
      <c r="A4" s="241"/>
      <c r="B4" s="243"/>
      <c r="C4" s="244"/>
      <c r="D4" s="245"/>
      <c r="E4" s="253" t="s">
        <v>135</v>
      </c>
      <c r="F4" s="255" t="s">
        <v>33</v>
      </c>
      <c r="G4" s="257" t="s">
        <v>136</v>
      </c>
      <c r="H4" s="250" t="s">
        <v>137</v>
      </c>
      <c r="I4" s="257" t="s">
        <v>138</v>
      </c>
      <c r="J4" s="250" t="s">
        <v>139</v>
      </c>
      <c r="K4" s="85" t="s">
        <v>141</v>
      </c>
      <c r="L4" s="204" t="s">
        <v>113</v>
      </c>
      <c r="M4" s="90" t="s">
        <v>63</v>
      </c>
      <c r="N4" s="250"/>
      <c r="O4" s="259" t="s">
        <v>124</v>
      </c>
      <c r="P4" s="257" t="s">
        <v>49</v>
      </c>
      <c r="Q4" s="261" t="s">
        <v>48</v>
      </c>
      <c r="R4" s="91" t="s">
        <v>64</v>
      </c>
      <c r="S4" s="92" t="s">
        <v>63</v>
      </c>
    </row>
    <row r="5" spans="1:19" ht="67.5" customHeight="1">
      <c r="A5" s="242"/>
      <c r="B5" s="243"/>
      <c r="C5" s="244"/>
      <c r="D5" s="245"/>
      <c r="E5" s="254"/>
      <c r="F5" s="256"/>
      <c r="G5" s="258"/>
      <c r="H5" s="251"/>
      <c r="I5" s="258"/>
      <c r="J5" s="251"/>
      <c r="K5" s="262" t="s">
        <v>142</v>
      </c>
      <c r="L5" s="263"/>
      <c r="M5" s="264"/>
      <c r="N5" s="251"/>
      <c r="O5" s="260"/>
      <c r="P5" s="258"/>
      <c r="Q5" s="261"/>
      <c r="R5" s="262" t="s">
        <v>102</v>
      </c>
      <c r="S5" s="26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30.75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aca="true" t="shared" si="19" ref="G73:G84">F73-E73</f>
        <v>0.04</v>
      </c>
      <c r="H73" s="164"/>
      <c r="I73" s="167">
        <f aca="true" t="shared" si="20" ref="I73:I84">F73-D73</f>
        <v>-3999.96</v>
      </c>
      <c r="J73" s="167">
        <f>F73/D73*100</f>
        <v>0.001</v>
      </c>
      <c r="K73" s="167">
        <v>0.06</v>
      </c>
      <c r="L73" s="167">
        <f aca="true" t="shared" si="21" ref="L73:L84">F73-K73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</f>
        <v>1010.9</v>
      </c>
      <c r="F85" s="191">
        <f>F71+F83+F77+F82+F84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265"/>
      <c r="H89" s="265"/>
      <c r="I89" s="265"/>
      <c r="J89" s="265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266"/>
      <c r="P90" s="266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67"/>
      <c r="H91" s="267"/>
      <c r="I91" s="118"/>
      <c r="J91" s="268"/>
      <c r="K91" s="268"/>
      <c r="L91" s="268"/>
      <c r="M91" s="268"/>
      <c r="N91" s="268"/>
      <c r="O91" s="266"/>
      <c r="P91" s="266"/>
    </row>
    <row r="92" spans="3:16" ht="15.75" customHeight="1">
      <c r="C92" s="81">
        <v>42762</v>
      </c>
      <c r="D92" s="29">
        <v>8862.4</v>
      </c>
      <c r="F92" s="68"/>
      <c r="G92" s="267"/>
      <c r="H92" s="267"/>
      <c r="I92" s="118"/>
      <c r="J92" s="269"/>
      <c r="K92" s="269"/>
      <c r="L92" s="269"/>
      <c r="M92" s="269"/>
      <c r="N92" s="269"/>
      <c r="O92" s="266"/>
      <c r="P92" s="266"/>
    </row>
    <row r="93" spans="3:14" ht="15.75" customHeight="1">
      <c r="C93" s="81"/>
      <c r="F93" s="68"/>
      <c r="G93" s="273"/>
      <c r="H93" s="273"/>
      <c r="I93" s="124"/>
      <c r="J93" s="268"/>
      <c r="K93" s="268"/>
      <c r="L93" s="268"/>
      <c r="M93" s="268"/>
      <c r="N93" s="268"/>
    </row>
    <row r="94" spans="2:14" ht="18.75" customHeight="1">
      <c r="B94" s="274" t="s">
        <v>56</v>
      </c>
      <c r="C94" s="275"/>
      <c r="D94" s="133">
        <f>9505303.41/1000</f>
        <v>9505.30341</v>
      </c>
      <c r="E94" s="69"/>
      <c r="F94" s="125" t="s">
        <v>107</v>
      </c>
      <c r="G94" s="267"/>
      <c r="H94" s="267"/>
      <c r="I94" s="126"/>
      <c r="J94" s="268"/>
      <c r="K94" s="268"/>
      <c r="L94" s="268"/>
      <c r="M94" s="268"/>
      <c r="N94" s="268"/>
    </row>
    <row r="95" spans="6:13" ht="9.75" customHeight="1">
      <c r="F95" s="68"/>
      <c r="G95" s="267"/>
      <c r="H95" s="267"/>
      <c r="I95" s="68"/>
      <c r="J95" s="69"/>
      <c r="K95" s="69"/>
      <c r="L95" s="69"/>
      <c r="M95" s="69"/>
    </row>
    <row r="96" spans="2:13" ht="22.5" customHeight="1" hidden="1">
      <c r="B96" s="270" t="s">
        <v>59</v>
      </c>
      <c r="C96" s="271"/>
      <c r="D96" s="80">
        <v>0</v>
      </c>
      <c r="E96" s="51" t="s">
        <v>24</v>
      </c>
      <c r="F96" s="68"/>
      <c r="G96" s="267"/>
      <c r="H96" s="26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72"/>
      <c r="P98" s="27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zoomScale="76" zoomScaleNormal="76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39" t="s">
        <v>132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86"/>
      <c r="S1" s="87"/>
    </row>
    <row r="2" spans="2:19" s="1" customFormat="1" ht="15.75" customHeight="1">
      <c r="B2" s="240"/>
      <c r="C2" s="240"/>
      <c r="D2" s="24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1"/>
      <c r="B3" s="243"/>
      <c r="C3" s="244" t="s">
        <v>0</v>
      </c>
      <c r="D3" s="245" t="s">
        <v>126</v>
      </c>
      <c r="E3" s="32"/>
      <c r="F3" s="246" t="s">
        <v>26</v>
      </c>
      <c r="G3" s="247"/>
      <c r="H3" s="247"/>
      <c r="I3" s="247"/>
      <c r="J3" s="248"/>
      <c r="K3" s="83"/>
      <c r="L3" s="83"/>
      <c r="M3" s="83"/>
      <c r="N3" s="249" t="s">
        <v>129</v>
      </c>
      <c r="O3" s="252" t="s">
        <v>125</v>
      </c>
      <c r="P3" s="252"/>
      <c r="Q3" s="252"/>
      <c r="R3" s="252"/>
      <c r="S3" s="252"/>
    </row>
    <row r="4" spans="1:19" ht="22.5" customHeight="1">
      <c r="A4" s="241"/>
      <c r="B4" s="243"/>
      <c r="C4" s="244"/>
      <c r="D4" s="245"/>
      <c r="E4" s="253" t="s">
        <v>127</v>
      </c>
      <c r="F4" s="255" t="s">
        <v>33</v>
      </c>
      <c r="G4" s="257" t="s">
        <v>128</v>
      </c>
      <c r="H4" s="250" t="s">
        <v>122</v>
      </c>
      <c r="I4" s="257" t="s">
        <v>103</v>
      </c>
      <c r="J4" s="250" t="s">
        <v>104</v>
      </c>
      <c r="K4" s="85" t="s">
        <v>114</v>
      </c>
      <c r="L4" s="204" t="s">
        <v>113</v>
      </c>
      <c r="M4" s="90" t="s">
        <v>63</v>
      </c>
      <c r="N4" s="250"/>
      <c r="O4" s="259" t="s">
        <v>133</v>
      </c>
      <c r="P4" s="257" t="s">
        <v>49</v>
      </c>
      <c r="Q4" s="261" t="s">
        <v>48</v>
      </c>
      <c r="R4" s="91" t="s">
        <v>64</v>
      </c>
      <c r="S4" s="92" t="s">
        <v>63</v>
      </c>
    </row>
    <row r="5" spans="1:19" ht="67.5" customHeight="1">
      <c r="A5" s="242"/>
      <c r="B5" s="243"/>
      <c r="C5" s="244"/>
      <c r="D5" s="245"/>
      <c r="E5" s="254"/>
      <c r="F5" s="256"/>
      <c r="G5" s="258"/>
      <c r="H5" s="251"/>
      <c r="I5" s="258"/>
      <c r="J5" s="251"/>
      <c r="K5" s="262" t="s">
        <v>130</v>
      </c>
      <c r="L5" s="263"/>
      <c r="M5" s="264"/>
      <c r="N5" s="251"/>
      <c r="O5" s="260"/>
      <c r="P5" s="258"/>
      <c r="Q5" s="261"/>
      <c r="R5" s="262" t="s">
        <v>102</v>
      </c>
      <c r="S5" s="26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265"/>
      <c r="H89" s="265"/>
      <c r="I89" s="265"/>
      <c r="J89" s="265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266"/>
      <c r="P90" s="266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67"/>
      <c r="H91" s="267"/>
      <c r="I91" s="118"/>
      <c r="J91" s="268"/>
      <c r="K91" s="268"/>
      <c r="L91" s="268"/>
      <c r="M91" s="268"/>
      <c r="N91" s="268"/>
      <c r="O91" s="266"/>
      <c r="P91" s="266"/>
    </row>
    <row r="92" spans="3:16" ht="15.75" customHeight="1">
      <c r="C92" s="81">
        <v>42732</v>
      </c>
      <c r="D92" s="29">
        <v>19085.6</v>
      </c>
      <c r="F92" s="68"/>
      <c r="G92" s="267"/>
      <c r="H92" s="267"/>
      <c r="I92" s="118"/>
      <c r="J92" s="269"/>
      <c r="K92" s="269"/>
      <c r="L92" s="269"/>
      <c r="M92" s="269"/>
      <c r="N92" s="269"/>
      <c r="O92" s="266"/>
      <c r="P92" s="266"/>
    </row>
    <row r="93" spans="3:14" ht="15.75" customHeight="1">
      <c r="C93" s="81"/>
      <c r="F93" s="68"/>
      <c r="G93" s="273"/>
      <c r="H93" s="273"/>
      <c r="I93" s="124"/>
      <c r="J93" s="268"/>
      <c r="K93" s="268"/>
      <c r="L93" s="268"/>
      <c r="M93" s="268"/>
      <c r="N93" s="268"/>
    </row>
    <row r="94" spans="2:14" ht="18.75" customHeight="1">
      <c r="B94" s="274" t="s">
        <v>56</v>
      </c>
      <c r="C94" s="275"/>
      <c r="D94" s="133">
        <f>'[1]залишки  (2)'!$G$6/1000</f>
        <v>778.2684399999999</v>
      </c>
      <c r="E94" s="69"/>
      <c r="F94" s="125" t="s">
        <v>107</v>
      </c>
      <c r="G94" s="267"/>
      <c r="H94" s="267"/>
      <c r="I94" s="126"/>
      <c r="J94" s="268"/>
      <c r="K94" s="268"/>
      <c r="L94" s="268"/>
      <c r="M94" s="268"/>
      <c r="N94" s="268"/>
    </row>
    <row r="95" spans="6:13" ht="9" customHeight="1">
      <c r="F95" s="68"/>
      <c r="G95" s="267"/>
      <c r="H95" s="267"/>
      <c r="I95" s="68"/>
      <c r="J95" s="69"/>
      <c r="K95" s="69"/>
      <c r="L95" s="69"/>
      <c r="M95" s="69"/>
    </row>
    <row r="96" spans="2:13" ht="22.5" customHeight="1" hidden="1">
      <c r="B96" s="270" t="s">
        <v>59</v>
      </c>
      <c r="C96" s="271"/>
      <c r="D96" s="80">
        <v>0</v>
      </c>
      <c r="E96" s="51" t="s">
        <v>24</v>
      </c>
      <c r="F96" s="68"/>
      <c r="G96" s="267"/>
      <c r="H96" s="26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72"/>
      <c r="P98" s="27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2017-02-23T09:04:46Z</cp:lastPrinted>
  <dcterms:created xsi:type="dcterms:W3CDTF">2003-07-28T11:27:56Z</dcterms:created>
  <dcterms:modified xsi:type="dcterms:W3CDTF">2017-02-23T09:35:57Z</dcterms:modified>
  <cp:category/>
  <cp:version/>
  <cp:contentType/>
  <cp:contentStatus/>
</cp:coreProperties>
</file>